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06" windowWidth="9975" windowHeight="9330" firstSheet="1" activeTab="2"/>
  </bookViews>
  <sheets>
    <sheet name="FY2005" sheetId="1" r:id="rId1"/>
    <sheet name="Inflation" sheetId="2" r:id="rId2"/>
    <sheet name="FY2006" sheetId="3" r:id="rId3"/>
    <sheet name="FY2007" sheetId="4" r:id="rId4"/>
    <sheet name="FY2005-FY2007" sheetId="5" r:id="rId5"/>
  </sheets>
  <definedNames>
    <definedName name="_xlnm.Print_Area" localSheetId="0">'FY2005'!$A$1:$M$62</definedName>
    <definedName name="_xlnm.Print_Area" localSheetId="4">'FY2005-FY2007'!$A$1:$M$62</definedName>
    <definedName name="_xlnm.Print_Area" localSheetId="2">'FY2006'!$A$1:$M$62</definedName>
  </definedNames>
  <calcPr fullCalcOnLoad="1"/>
</workbook>
</file>

<file path=xl/sharedStrings.xml><?xml version="1.0" encoding="utf-8"?>
<sst xmlns="http://schemas.openxmlformats.org/spreadsheetml/2006/main" count="354" uniqueCount="94">
  <si>
    <t>(04-93)</t>
  </si>
  <si>
    <t>Budget Page</t>
  </si>
  <si>
    <t>1910-1400</t>
  </si>
  <si>
    <t>All Other Editions Are Obsolete</t>
  </si>
  <si>
    <t>(See reverse for Instructions)</t>
  </si>
  <si>
    <t>OMB Burden Disclosure</t>
  </si>
  <si>
    <t>Statement on Reverse</t>
  </si>
  <si>
    <t>ORGANIZATION</t>
  </si>
  <si>
    <t>Budget Page No:</t>
  </si>
  <si>
    <t>PRINCIPAL INVESTIGATOR/PROJECT DIRECTOR</t>
  </si>
  <si>
    <t>Requested Duration:</t>
  </si>
  <si>
    <t>(Months)</t>
  </si>
  <si>
    <t>A. SENIOR PERSONNEL: PI/PD, Co-PI's, Faculty and Other Senior Associates</t>
  </si>
  <si>
    <t>DOE Funded</t>
  </si>
  <si>
    <t xml:space="preserve">     (List each separately with title; A.6. show number in brackets)</t>
  </si>
  <si>
    <t>Person-mos.</t>
  </si>
  <si>
    <t>Funds Requested</t>
  </si>
  <si>
    <t>Funds Granted</t>
  </si>
  <si>
    <t>CAL</t>
  </si>
  <si>
    <t>ACAD</t>
  </si>
  <si>
    <t>SUMR</t>
  </si>
  <si>
    <t>by Applpicant</t>
  </si>
  <si>
    <t>by DOE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</si>
  <si>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</si>
  <si>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</si>
  <si>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</si>
  <si>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</si>
  <si>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</si>
  <si>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</si>
  <si>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</si>
  <si>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</si>
  <si>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2. (</t>
  </si>
  <si>
    <t>)  OTHER PROFESSIONAL (TECHNICIAN, PROGRAMMER, ETC.)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</si>
  <si>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</si>
  <si>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</si>
  <si>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</si>
  <si>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</si>
  <si>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</si>
  <si>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</si>
  <si>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</si>
  <si>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</si>
  <si>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</si>
  <si>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</si>
  <si>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</si>
  <si>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</si>
  <si>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</si>
  <si>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</si>
  <si>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</si>
  <si>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</si>
  <si>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</si>
  <si>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</si>
  <si>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</si>
  <si>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</si>
  <si>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</si>
  <si>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</si>
  <si>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</si>
  <si>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</si>
  <si>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</si>
  <si>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</si>
  <si>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</si>
  <si>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</si>
  <si>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</si>
  <si>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</si>
  <si>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MATERIALS AND SUPPLIES</t>
  </si>
  <si>
    <t>PUBLICATION COSTS/DOCUMENTATION/DISSEMINATION</t>
  </si>
  <si>
    <t>CONSULTANT SERVICES</t>
  </si>
  <si>
    <t>COMPUTER (ADPE) SERVICES</t>
  </si>
  <si>
    <t>SUBCONTRACTS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</si>
  <si>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</si>
  <si>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</si>
  <si>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</si>
  <si>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</si>
  <si>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</si>
  <si>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</si>
  <si>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</si>
  <si>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</si>
  <si>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</si>
  <si>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</si>
  <si>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</si>
  <si>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</si>
  <si>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Stanford Linear Accelerator Center</t>
  </si>
  <si>
    <t>6.8% on M&amp;S</t>
  </si>
  <si>
    <t>FY2005</t>
  </si>
  <si>
    <t>OTHER  (Graduate-Student tuition)</t>
  </si>
  <si>
    <t>OTHER (Graduate-Student tuition)</t>
  </si>
  <si>
    <t>R. Les Cottrell</t>
  </si>
  <si>
    <t>R. Les. Cottrell</t>
  </si>
  <si>
    <t>Inflation</t>
  </si>
  <si>
    <t>37% on labor and travel</t>
  </si>
  <si>
    <t>A. Hanushevsky</t>
  </si>
  <si>
    <t>FY2006</t>
  </si>
  <si>
    <t>A. Hanuschevsky</t>
  </si>
  <si>
    <t>FY2007</t>
  </si>
  <si>
    <t>FY2005-FY2007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</si>
</sst>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"/>
    <numFmt numFmtId="166" formatCode="0.0"/>
    <numFmt numFmtId="167" formatCode="0.0%"/>
    <numFmt numFmtId="168" formatCode="0.000"/>
    <numFmt numFmtId="169" formatCode="&quot;$&quot;#,##0.000_);\(&quot;$&quot;#,##0.0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Geneva"/>
      <family val="0"/>
    </font>
    <font>
      <sz val="6"/>
      <name val="Helv"/>
      <family val="0"/>
    </font>
    <font>
      <sz val="6"/>
      <name val="Geneva"/>
      <family val="0"/>
    </font>
    <font>
      <b/>
      <sz val="6"/>
      <name val="Helv"/>
      <family val="0"/>
    </font>
    <font>
      <b/>
      <sz val="8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6"/>
      <name val="Geneva"/>
      <family val="0"/>
    </font>
    <font>
      <b/>
      <sz val="12"/>
      <name val="Geneva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5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6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10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5" fontId="8" fillId="1" borderId="3" xfId="0" applyNumberFormat="1" applyFont="1" applyFill="1" applyBorder="1" applyAlignment="1">
      <alignment/>
    </xf>
    <xf numFmtId="5" fontId="8" fillId="1" borderId="11" xfId="0" applyNumberFormat="1" applyFont="1" applyFill="1" applyBorder="1" applyAlignment="1">
      <alignment/>
    </xf>
    <xf numFmtId="5" fontId="8" fillId="1" borderId="5" xfId="0" applyNumberFormat="1" applyFont="1" applyFill="1" applyBorder="1" applyAlignment="1">
      <alignment/>
    </xf>
    <xf numFmtId="5" fontId="8" fillId="1" borderId="9" xfId="0" applyNumberFormat="1" applyFont="1" applyFill="1" applyBorder="1" applyAlignment="1">
      <alignment/>
    </xf>
    <xf numFmtId="10" fontId="8" fillId="0" borderId="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5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6" fontId="8" fillId="0" borderId="5" xfId="0" applyNumberFormat="1" applyFont="1" applyBorder="1" applyAlignment="1">
      <alignment/>
    </xf>
    <xf numFmtId="5" fontId="8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5" fontId="0" fillId="0" borderId="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6" fontId="8" fillId="0" borderId="0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2" fontId="12" fillId="1" borderId="13" xfId="0" applyNumberFormat="1" applyFont="1" applyFill="1" applyBorder="1" applyAlignment="1">
      <alignment horizontal="right"/>
    </xf>
    <xf numFmtId="2" fontId="12" fillId="1" borderId="13" xfId="0" applyNumberFormat="1" applyFont="1" applyFill="1" applyBorder="1" applyAlignment="1">
      <alignment/>
    </xf>
    <xf numFmtId="5" fontId="12" fillId="1" borderId="13" xfId="0" applyNumberFormat="1" applyFont="1" applyFill="1" applyBorder="1" applyAlignment="1">
      <alignment/>
    </xf>
    <xf numFmtId="0" fontId="6" fillId="0" borderId="3" xfId="0" applyFont="1" applyBorder="1" applyAlignment="1" quotePrefix="1">
      <alignment horizontal="left"/>
    </xf>
    <xf numFmtId="5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5" fontId="12" fillId="1" borderId="15" xfId="0" applyNumberFormat="1" applyFont="1" applyFill="1" applyBorder="1" applyAlignment="1">
      <alignment/>
    </xf>
    <xf numFmtId="5" fontId="12" fillId="1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centerContinuous"/>
    </xf>
    <xf numFmtId="6" fontId="13" fillId="0" borderId="0" xfId="0" applyNumberFormat="1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10" fontId="8" fillId="0" borderId="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5" fontId="8" fillId="1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1" borderId="11" xfId="0" applyFont="1" applyFill="1" applyBorder="1" applyAlignment="1">
      <alignment/>
    </xf>
    <xf numFmtId="9" fontId="12" fillId="0" borderId="0" xfId="0" applyNumberFormat="1" applyFont="1" applyBorder="1" applyAlignment="1">
      <alignment horizontal="center"/>
    </xf>
    <xf numFmtId="5" fontId="12" fillId="0" borderId="0" xfId="0" applyNumberFormat="1" applyFont="1" applyFill="1" applyBorder="1" applyAlignment="1">
      <alignment/>
    </xf>
    <xf numFmtId="0" fontId="8" fillId="1" borderId="9" xfId="0" applyFont="1" applyFill="1" applyBorder="1" applyAlignment="1">
      <alignment/>
    </xf>
    <xf numFmtId="5" fontId="8" fillId="0" borderId="5" xfId="0" applyNumberFormat="1" applyFont="1" applyFill="1" applyBorder="1" applyAlignment="1">
      <alignment/>
    </xf>
    <xf numFmtId="5" fontId="8" fillId="0" borderId="9" xfId="0" applyNumberFormat="1" applyFont="1" applyFill="1" applyBorder="1" applyAlignment="1">
      <alignment/>
    </xf>
    <xf numFmtId="5" fontId="12" fillId="0" borderId="16" xfId="0" applyNumberFormat="1" applyFont="1" applyBorder="1" applyAlignment="1">
      <alignment/>
    </xf>
    <xf numFmtId="5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0" fontId="9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/>
      <protection locked="0"/>
    </xf>
    <xf numFmtId="6" fontId="8" fillId="0" borderId="5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 horizontal="left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5" fontId="12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5" fontId="12" fillId="0" borderId="15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/>
    </xf>
    <xf numFmtId="5" fontId="12" fillId="0" borderId="13" xfId="0" applyNumberFormat="1" applyFont="1" applyFill="1" applyBorder="1" applyAlignment="1" applyProtection="1">
      <alignment/>
      <protection locked="0"/>
    </xf>
    <xf numFmtId="5" fontId="12" fillId="0" borderId="4" xfId="0" applyNumberFormat="1" applyFont="1" applyBorder="1" applyAlignment="1" applyProtection="1">
      <alignment/>
      <protection locked="0"/>
    </xf>
    <xf numFmtId="5" fontId="12" fillId="0" borderId="13" xfId="0" applyNumberFormat="1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6" fontId="16" fillId="0" borderId="1" xfId="0" applyNumberFormat="1" applyFont="1" applyBorder="1" applyAlignment="1" applyProtection="1">
      <alignment/>
      <protection locked="0"/>
    </xf>
    <xf numFmtId="6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6" fontId="6" fillId="0" borderId="0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5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  <xf numFmtId="164" fontId="0" fillId="0" borderId="0" xfId="0" applyNumberFormat="1" applyFill="1" applyBorder="1" applyAlignment="1" applyProtection="1">
      <alignment/>
      <protection hidden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J33">
      <pane xSplit="7575" topLeftCell="H10" activePane="topRight" state="split"/>
      <selection pane="topLeft" activeCell="G6" sqref="G6"/>
      <selection pane="topRight" activeCell="K55" sqref="K55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82</v>
      </c>
      <c r="K6" s="50"/>
    </row>
    <row r="7" spans="1:21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1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86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H14*12084*1.03</f>
        <v>12446.52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89</v>
      </c>
      <c r="E15" s="113"/>
      <c r="F15" s="113"/>
      <c r="G15" s="113"/>
      <c r="H15" s="146">
        <v>3</v>
      </c>
      <c r="I15" s="147">
        <v>0</v>
      </c>
      <c r="J15" s="147">
        <v>0</v>
      </c>
      <c r="K15" s="135">
        <f>H15*10700*1.03</f>
        <v>33063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v>0</v>
      </c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v>0</v>
      </c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25</v>
      </c>
      <c r="C20" s="130">
        <v>3</v>
      </c>
      <c r="D20" s="31" t="s">
        <v>26</v>
      </c>
      <c r="E20" s="31"/>
      <c r="F20" s="31"/>
      <c r="G20" s="31"/>
      <c r="H20" s="146">
        <f>SUM(H14:H19)</f>
        <v>4</v>
      </c>
      <c r="I20" s="146">
        <f>SUM(I14:I19)</f>
        <v>0</v>
      </c>
      <c r="J20" s="146">
        <f>SUM(J14:J19)</f>
        <v>0</v>
      </c>
      <c r="K20" s="137">
        <f>SUM(K14:K19)</f>
        <v>45509.520000000004</v>
      </c>
      <c r="L20" s="91"/>
      <c r="M20" s="92"/>
      <c r="O20" s="52"/>
    </row>
    <row r="21" spans="1:15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29</v>
      </c>
      <c r="B22" s="114"/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</f>
        <v>0</v>
      </c>
      <c r="L23" s="44"/>
      <c r="M23" s="26"/>
      <c r="O23" s="52"/>
    </row>
    <row r="24" spans="1:15" s="49" customFormat="1" ht="12" customHeight="1">
      <c r="A24" s="5" t="s">
        <v>33</v>
      </c>
      <c r="B24" s="114">
        <v>2</v>
      </c>
      <c r="C24" s="8" t="s">
        <v>34</v>
      </c>
      <c r="D24" s="31"/>
      <c r="E24" s="31"/>
      <c r="F24" s="31"/>
      <c r="G24" s="31"/>
      <c r="H24" s="133">
        <v>0</v>
      </c>
      <c r="I24" s="134">
        <f>9*B24</f>
        <v>18</v>
      </c>
      <c r="J24" s="134">
        <v>3</v>
      </c>
      <c r="K24" s="135">
        <f>(2200*I24+J24*4400)*1.03</f>
        <v>54384</v>
      </c>
      <c r="L24" s="44"/>
      <c r="M24" s="26"/>
      <c r="O24" s="52"/>
    </row>
    <row r="25" spans="1:15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/>
      <c r="K25" s="135">
        <v>0</v>
      </c>
      <c r="L25" s="44"/>
      <c r="M25" s="26"/>
      <c r="O25" s="52"/>
    </row>
    <row r="26" spans="1:15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99893.52</v>
      </c>
      <c r="L28" s="91"/>
      <c r="M28" s="92"/>
      <c r="O28" s="52"/>
    </row>
    <row r="29" spans="1:15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K23*0.29+K24*0.035+0.29*K20</f>
        <v>15101.2008</v>
      </c>
      <c r="L29" s="91"/>
      <c r="M29" s="92"/>
      <c r="O29" s="52"/>
    </row>
    <row r="30" spans="1:15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114994.72080000001</v>
      </c>
      <c r="L30" s="91"/>
      <c r="M30" s="92"/>
      <c r="O30" s="52"/>
    </row>
    <row r="31" spans="1:15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3*1500</f>
        <v>4500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9">
        <v>3500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8000</v>
      </c>
      <c r="L41" s="91"/>
      <c r="M41" s="92"/>
      <c r="O41" s="52"/>
    </row>
    <row r="42" spans="1:15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83</v>
      </c>
      <c r="D54" s="129"/>
      <c r="E54" s="120"/>
      <c r="F54" s="121"/>
      <c r="G54" s="120"/>
      <c r="H54" s="122"/>
      <c r="I54" s="123"/>
      <c r="J54" s="122"/>
      <c r="K54" s="140">
        <f>17160*B24*1.03</f>
        <v>35349.6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35349.6</v>
      </c>
      <c r="L55" s="91"/>
      <c r="M55" s="92"/>
      <c r="O55" s="52"/>
    </row>
    <row r="56" spans="1:15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158344.32080000002</v>
      </c>
      <c r="L56" s="91"/>
      <c r="M56" s="92"/>
      <c r="O56" s="52"/>
    </row>
    <row r="57" spans="1:15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88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0.37*(K30+K41)+0.068*K49</f>
        <v>45508.046696000005</v>
      </c>
      <c r="L59" s="41"/>
      <c r="M59" s="26"/>
      <c r="O59" s="52"/>
    </row>
    <row r="60" spans="1:15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203852.36749600002</v>
      </c>
      <c r="L60" s="91"/>
      <c r="M60" s="92"/>
      <c r="O60" s="52"/>
    </row>
    <row r="61" spans="1:15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203852.36749600002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:C1"/>
    </sheetView>
  </sheetViews>
  <sheetFormatPr defaultColWidth="9.00390625" defaultRowHeight="12.75"/>
  <sheetData>
    <row r="1" spans="1:3" ht="12.75">
      <c r="A1" s="158" t="s">
        <v>87</v>
      </c>
      <c r="B1" s="158"/>
      <c r="C1" s="158">
        <v>0.03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BreakPreview" zoomScaleSheetLayoutView="100" workbookViewId="0" topLeftCell="D26">
      <pane xSplit="10725" topLeftCell="I4" activePane="topLeft" state="split"/>
      <selection pane="topLeft" activeCell="K55" sqref="K55"/>
      <selection pane="topRight" activeCell="M32" sqref="M32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6384" width="10.75390625" style="1" customWidth="1"/>
  </cols>
  <sheetData>
    <row r="1" spans="1:14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90</v>
      </c>
      <c r="K6" s="50"/>
    </row>
    <row r="7" spans="1:14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2</v>
      </c>
      <c r="M7" s="66"/>
      <c r="N7" s="49"/>
    </row>
    <row r="8" spans="1:14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</row>
    <row r="9" spans="1:14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  <c r="N9" s="49"/>
    </row>
    <row r="10" spans="1:14" s="2" customFormat="1" ht="12" customHeight="1">
      <c r="A10" s="141"/>
      <c r="B10" s="108"/>
      <c r="C10" s="108"/>
      <c r="D10" s="144" t="s">
        <v>85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</row>
    <row r="11" spans="1:14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</row>
    <row r="12" spans="1:14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</row>
    <row r="13" spans="1:14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  <c r="N13" s="49"/>
    </row>
    <row r="14" spans="1:13" s="49" customFormat="1" ht="12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H14*12084*(1+Inflation!C1)*1.03</f>
        <v>12819.9156</v>
      </c>
      <c r="L14" s="44"/>
      <c r="M14" s="26"/>
    </row>
    <row r="15" spans="1:13" s="49" customFormat="1" ht="12" customHeight="1">
      <c r="A15" s="32">
        <v>2</v>
      </c>
      <c r="B15" s="111"/>
      <c r="C15" s="112"/>
      <c r="D15" s="113" t="s">
        <v>91</v>
      </c>
      <c r="E15" s="113"/>
      <c r="F15" s="113"/>
      <c r="G15" s="113"/>
      <c r="H15" s="146">
        <v>3</v>
      </c>
      <c r="I15" s="147">
        <v>0</v>
      </c>
      <c r="J15" s="147">
        <v>0</v>
      </c>
      <c r="K15" s="135">
        <f>H15*10700*(1+Inflation!C1)*1.03</f>
        <v>34054.89</v>
      </c>
      <c r="L15" s="44"/>
      <c r="M15" s="26"/>
    </row>
    <row r="16" spans="1:13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J16*11000*(1+Inflation!C1)</f>
        <v>0</v>
      </c>
      <c r="L16" s="44"/>
      <c r="M16" s="26"/>
    </row>
    <row r="17" spans="1:13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s="49" customFormat="1" ht="12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SUM(H14:H18)</f>
        <v>4</v>
      </c>
      <c r="I20" s="146">
        <f>SUM(I14:I19)</f>
        <v>0</v>
      </c>
      <c r="J20" s="146">
        <f>SUM(J14:J19)</f>
        <v>0</v>
      </c>
      <c r="K20" s="137">
        <f>SUM(K14:K19)</f>
        <v>46874.8056</v>
      </c>
      <c r="L20" s="91"/>
      <c r="M20" s="92"/>
    </row>
    <row r="21" spans="1:13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s="49" customFormat="1" ht="12" customHeigh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s="49" customFormat="1" ht="12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</f>
        <v>0</v>
      </c>
      <c r="L23" s="44"/>
      <c r="M23" s="26"/>
    </row>
    <row r="24" spans="1:13" s="49" customFormat="1" ht="12" customHeight="1">
      <c r="A24" s="5" t="s">
        <v>33</v>
      </c>
      <c r="B24" s="114">
        <v>2</v>
      </c>
      <c r="C24" s="8" t="s">
        <v>34</v>
      </c>
      <c r="D24" s="31"/>
      <c r="E24" s="31"/>
      <c r="F24" s="31"/>
      <c r="G24" s="31"/>
      <c r="H24" s="133"/>
      <c r="I24" s="134">
        <v>18</v>
      </c>
      <c r="J24" s="134">
        <v>3</v>
      </c>
      <c r="K24" s="135">
        <f>(1+Inflation!C1)*(I24*2200+J24*4400)*1.03</f>
        <v>56015.520000000004</v>
      </c>
      <c r="L24" s="44"/>
      <c r="M24" s="26"/>
    </row>
    <row r="25" spans="1:13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102890.32560000001</v>
      </c>
      <c r="L28" s="91"/>
      <c r="M28" s="92"/>
    </row>
    <row r="29" spans="1:13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15554.236824</v>
      </c>
      <c r="L29" s="91"/>
      <c r="M29" s="92"/>
    </row>
    <row r="30" spans="1:13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118444.562424</v>
      </c>
      <c r="L30" s="91"/>
      <c r="M30" s="92"/>
    </row>
    <row r="31" spans="1:13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s="49" customFormat="1" ht="12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'FY2005'!K38*(1+Inflation!C1)</f>
        <v>4635</v>
      </c>
      <c r="L38" s="88"/>
      <c r="M38" s="89"/>
    </row>
    <row r="39" spans="1:13" s="49" customFormat="1" ht="12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8">
        <f>'FY2005'!K39*(1+Inflation!C1)</f>
        <v>3605</v>
      </c>
      <c r="L39" s="16"/>
      <c r="M39" s="26"/>
    </row>
    <row r="40" spans="1:13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8240</v>
      </c>
      <c r="L41" s="91"/>
      <c r="M41" s="92"/>
    </row>
    <row r="42" spans="1:13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</row>
    <row r="48" spans="1:13" s="49" customFormat="1" ht="12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s="49" customFormat="1" ht="12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s="49" customFormat="1" ht="12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s="49" customFormat="1" ht="12" customHeight="1" thickBot="1">
      <c r="A54" s="27"/>
      <c r="B54" s="42">
        <v>6</v>
      </c>
      <c r="C54" s="13" t="s">
        <v>83</v>
      </c>
      <c r="D54" s="129"/>
      <c r="E54" s="120"/>
      <c r="F54" s="121"/>
      <c r="G54" s="120"/>
      <c r="H54" s="122"/>
      <c r="I54" s="123"/>
      <c r="J54" s="122"/>
      <c r="K54" s="140">
        <f>1.03*(1+Inflation!C1)*B24*'FY2005'!K54/'FY2005'!B24</f>
        <v>37502.39064</v>
      </c>
      <c r="L54" s="41"/>
      <c r="M54" s="26"/>
    </row>
    <row r="55" spans="1:13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37502.39064</v>
      </c>
      <c r="L55" s="91"/>
      <c r="M55" s="92"/>
    </row>
    <row r="56" spans="1:13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164186.953064</v>
      </c>
      <c r="L56" s="91"/>
      <c r="M56" s="92"/>
    </row>
    <row r="57" spans="1:13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s="49" customFormat="1" ht="12" customHeight="1">
      <c r="A58" s="115"/>
      <c r="B58" s="116"/>
      <c r="C58" s="116"/>
      <c r="D58" s="117"/>
      <c r="E58" s="117"/>
      <c r="F58" s="124" t="s">
        <v>88</v>
      </c>
      <c r="G58" s="125"/>
      <c r="H58" s="126"/>
      <c r="I58" s="116"/>
      <c r="J58" s="116"/>
      <c r="K58" s="71"/>
      <c r="L58" s="82"/>
      <c r="M58" s="84"/>
    </row>
    <row r="59" spans="1:13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0.37*(K30+K41)+0.068*K49</f>
        <v>46873.28809688</v>
      </c>
      <c r="L59" s="41"/>
      <c r="M59" s="26"/>
    </row>
    <row r="60" spans="1:13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211060.24116088002</v>
      </c>
      <c r="L60" s="91"/>
      <c r="M60" s="92"/>
    </row>
    <row r="61" spans="1:13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211060.24116088002</v>
      </c>
      <c r="L62" s="153"/>
      <c r="M62" s="92"/>
    </row>
  </sheetData>
  <printOptions horizontalCentered="1"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24">
      <selection activeCell="K55" sqref="K55"/>
    </sheetView>
  </sheetViews>
  <sheetFormatPr defaultColWidth="9.00390625" defaultRowHeight="12.75"/>
  <cols>
    <col min="1" max="1" width="3.375" style="0" customWidth="1"/>
    <col min="2" max="2" width="2.875" style="0" customWidth="1"/>
    <col min="3" max="3" width="2.00390625" style="0" customWidth="1"/>
    <col min="7" max="7" width="7.75390625" style="0" customWidth="1"/>
    <col min="8" max="8" width="5.125" style="0" customWidth="1"/>
    <col min="9" max="9" width="4.75390625" style="0" customWidth="1"/>
    <col min="10" max="10" width="5.25390625" style="0" customWidth="1"/>
  </cols>
  <sheetData>
    <row r="1" spans="1:13" ht="12.75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</row>
    <row r="2" spans="1:13" ht="10.5" customHeight="1">
      <c r="A2" s="96"/>
      <c r="B2" s="93"/>
      <c r="D2" s="6"/>
      <c r="E2" s="6"/>
      <c r="F2" s="6"/>
      <c r="G2" s="100"/>
      <c r="J2" s="12"/>
      <c r="K2" s="50"/>
      <c r="L2" s="68"/>
      <c r="M2" s="83"/>
    </row>
    <row r="3" spans="1:13" ht="15.75" customHeight="1">
      <c r="A3" s="96"/>
      <c r="B3" s="93" t="s">
        <v>0</v>
      </c>
      <c r="D3" s="6"/>
      <c r="E3" s="6"/>
      <c r="F3" s="6"/>
      <c r="G3" s="98" t="s">
        <v>1</v>
      </c>
      <c r="J3" s="12"/>
      <c r="K3" s="50"/>
      <c r="L3" s="68" t="s">
        <v>2</v>
      </c>
      <c r="M3" s="83"/>
    </row>
    <row r="4" spans="1:13" ht="10.5" customHeight="1">
      <c r="A4" s="96"/>
      <c r="B4" s="93" t="s">
        <v>3</v>
      </c>
      <c r="D4" s="6"/>
      <c r="E4" s="6"/>
      <c r="F4" s="6"/>
      <c r="G4" s="99" t="s">
        <v>4</v>
      </c>
      <c r="J4" s="12"/>
      <c r="K4" s="50"/>
      <c r="L4" s="68" t="s">
        <v>5</v>
      </c>
      <c r="M4" s="83"/>
    </row>
    <row r="5" spans="1:13" ht="10.5" customHeight="1">
      <c r="A5" s="96"/>
      <c r="D5" s="6"/>
      <c r="E5" s="6"/>
      <c r="F5" s="6"/>
      <c r="J5" s="12"/>
      <c r="K5" s="50"/>
      <c r="L5" s="68" t="s">
        <v>6</v>
      </c>
      <c r="M5" s="83"/>
    </row>
    <row r="6" spans="1:13" ht="10.5" customHeight="1">
      <c r="A6" s="96"/>
      <c r="D6" s="6"/>
      <c r="E6" s="6"/>
      <c r="F6" s="6"/>
      <c r="G6" s="97" t="s">
        <v>92</v>
      </c>
      <c r="J6" s="12"/>
      <c r="K6" s="50"/>
      <c r="L6" s="50"/>
      <c r="M6" s="83"/>
    </row>
    <row r="7" spans="1:13" ht="10.5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2</v>
      </c>
      <c r="M7" s="66"/>
    </row>
    <row r="8" spans="1:13" ht="10.5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</row>
    <row r="9" spans="1:13" ht="10.5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</row>
    <row r="10" spans="1:13" ht="10.5" customHeight="1">
      <c r="A10" s="141"/>
      <c r="B10" s="108"/>
      <c r="C10" s="108"/>
      <c r="D10" s="144" t="s">
        <v>85</v>
      </c>
      <c r="E10" s="144"/>
      <c r="F10" s="144"/>
      <c r="G10" s="144"/>
      <c r="H10" s="145"/>
      <c r="I10" s="145"/>
      <c r="J10" s="110"/>
      <c r="K10" s="24"/>
      <c r="L10" s="54"/>
      <c r="M10" s="40"/>
    </row>
    <row r="11" spans="1:13" ht="10.5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</row>
    <row r="12" spans="1:13" ht="10.5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</row>
    <row r="13" spans="1:13" ht="10.5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</row>
    <row r="14" spans="1:13" ht="10.5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1.03*H14*12084*(1+Inflation!C1)^2</f>
        <v>13204.513068</v>
      </c>
      <c r="L14" s="44"/>
      <c r="M14" s="26"/>
    </row>
    <row r="15" spans="1:13" ht="10.5" customHeight="1">
      <c r="A15" s="32">
        <v>2</v>
      </c>
      <c r="B15" s="111"/>
      <c r="C15" s="112"/>
      <c r="D15" s="113" t="s">
        <v>89</v>
      </c>
      <c r="E15" s="113"/>
      <c r="F15" s="113"/>
      <c r="G15" s="113"/>
      <c r="H15" s="146">
        <v>3</v>
      </c>
      <c r="I15" s="147">
        <v>0</v>
      </c>
      <c r="J15" s="147">
        <v>0</v>
      </c>
      <c r="K15" s="135">
        <f>1.03*H15*10700*(1+Inflation!C1)^2</f>
        <v>35076.5367</v>
      </c>
      <c r="L15" s="44"/>
      <c r="M15" s="26"/>
    </row>
    <row r="16" spans="1:13" ht="10.5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J16*11000*(1+Inflation!C1)^2</f>
        <v>0</v>
      </c>
      <c r="L16" s="44"/>
      <c r="M16" s="26"/>
    </row>
    <row r="17" spans="1:13" ht="10.5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ht="10.5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ht="10.5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ht="10.5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SUM(H14:H18)</f>
        <v>4</v>
      </c>
      <c r="I20" s="146">
        <f>SUM(I14:I19)</f>
        <v>0</v>
      </c>
      <c r="J20" s="146">
        <f>SUM(J14:J19)</f>
        <v>0</v>
      </c>
      <c r="K20" s="137">
        <f>SUM(K14:K19)</f>
        <v>48281.049768</v>
      </c>
      <c r="L20" s="91"/>
      <c r="M20" s="92"/>
    </row>
    <row r="21" spans="1:13" ht="10.5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ht="10.5" customHeigh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ht="10.5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</f>
        <v>0</v>
      </c>
      <c r="L23" s="44"/>
      <c r="M23" s="26"/>
    </row>
    <row r="24" spans="1:13" ht="10.5" customHeight="1">
      <c r="A24" s="5" t="s">
        <v>33</v>
      </c>
      <c r="B24" s="114">
        <v>2</v>
      </c>
      <c r="C24" s="8" t="s">
        <v>34</v>
      </c>
      <c r="D24" s="31"/>
      <c r="E24" s="31"/>
      <c r="F24" s="31"/>
      <c r="G24" s="31"/>
      <c r="H24" s="133"/>
      <c r="I24" s="134">
        <v>18</v>
      </c>
      <c r="J24" s="134">
        <v>3</v>
      </c>
      <c r="K24" s="135">
        <f>1.03*(1+Inflation!C1)^2*(I24*2200+J24*4400)</f>
        <v>57695.9856</v>
      </c>
      <c r="L24" s="44"/>
      <c r="M24" s="26"/>
    </row>
    <row r="25" spans="1:13" ht="10.5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ht="10.5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ht="10.5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ht="10.5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105977.035368</v>
      </c>
      <c r="L28" s="91"/>
      <c r="M28" s="92"/>
    </row>
    <row r="29" spans="1:13" ht="10.5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16020.863928719999</v>
      </c>
      <c r="L29" s="91"/>
      <c r="M29" s="92"/>
    </row>
    <row r="30" spans="1:13" ht="10.5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121997.89929671999</v>
      </c>
      <c r="L30" s="91"/>
      <c r="M30" s="92"/>
    </row>
    <row r="31" spans="1:13" ht="10.5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ht="10.5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ht="10.5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ht="10.5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ht="10.5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ht="10.5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ht="10.5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ht="10.5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'FY2005'!K38*(1+Inflation!C1)^2</f>
        <v>4774.05</v>
      </c>
      <c r="L38" s="88"/>
      <c r="M38" s="89"/>
    </row>
    <row r="39" spans="1:13" ht="10.5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8">
        <f>'FY2005'!K39*(1+Inflation!C1)^2</f>
        <v>3713.1499999999996</v>
      </c>
      <c r="L39" s="16"/>
      <c r="M39" s="26"/>
    </row>
    <row r="40" spans="1:13" ht="10.5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ht="10.5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8487.2</v>
      </c>
      <c r="L41" s="91"/>
      <c r="M41" s="92"/>
    </row>
    <row r="42" spans="1:13" ht="10.5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ht="10.5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ht="10.5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ht="10.5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ht="10.5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ht="10.5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</row>
    <row r="48" spans="1:13" ht="10.5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ht="10.5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ht="10.5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ht="10.5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ht="10.5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ht="10.5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ht="10.5" customHeight="1" thickBot="1">
      <c r="A54" s="27"/>
      <c r="B54" s="42">
        <v>6</v>
      </c>
      <c r="C54" s="13" t="s">
        <v>83</v>
      </c>
      <c r="D54" s="129"/>
      <c r="E54" s="120"/>
      <c r="F54" s="121"/>
      <c r="G54" s="120"/>
      <c r="H54" s="122"/>
      <c r="I54" s="123"/>
      <c r="J54" s="122"/>
      <c r="K54" s="140">
        <f>1.03*(1+Inflation!C1)^2*B24*'FY2005'!K54/'FY2005'!B24</f>
        <v>38627.4623592</v>
      </c>
      <c r="L54" s="41"/>
      <c r="M54" s="26"/>
    </row>
    <row r="55" spans="1:13" ht="11.25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38627.4623592</v>
      </c>
      <c r="L55" s="91"/>
      <c r="M55" s="92"/>
    </row>
    <row r="56" spans="1:13" ht="13.5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169112.56165592</v>
      </c>
      <c r="L56" s="91"/>
      <c r="M56" s="92"/>
    </row>
    <row r="57" spans="1:13" ht="10.5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ht="10.5" customHeight="1">
      <c r="A58" s="115"/>
      <c r="B58" s="116"/>
      <c r="C58" s="116"/>
      <c r="D58" s="117"/>
      <c r="E58" s="117"/>
      <c r="F58" s="124" t="s">
        <v>88</v>
      </c>
      <c r="G58" s="125"/>
      <c r="H58" s="126"/>
      <c r="I58" s="116"/>
      <c r="J58" s="116"/>
      <c r="K58" s="71"/>
      <c r="L58" s="82"/>
      <c r="M58" s="84"/>
    </row>
    <row r="59" spans="1:13" ht="10.5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0.37*(K30+K41)+0.068*K49</f>
        <v>48279.48673978639</v>
      </c>
      <c r="L59" s="41"/>
      <c r="M59" s="26"/>
    </row>
    <row r="60" spans="1:13" ht="10.5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217392.0483957064</v>
      </c>
      <c r="L60" s="91"/>
      <c r="M60" s="92"/>
    </row>
    <row r="61" spans="1:13" ht="10.5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ht="10.5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217392.0483957064</v>
      </c>
      <c r="L62" s="153"/>
      <c r="M62" s="92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36">
      <selection activeCell="K14" sqref="K14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93</v>
      </c>
      <c r="K6" s="50"/>
    </row>
    <row r="7" spans="1:21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4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36</v>
      </c>
      <c r="M9" s="103" t="s">
        <v>11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85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 t="s">
        <v>22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f>'FY2005'!H14+'FY2006'!H14+'FY2007'!H14</f>
        <v>3</v>
      </c>
      <c r="I14" s="146">
        <f>'FY2005'!I14+'FY2006'!I14+'FY2007'!I14</f>
        <v>0</v>
      </c>
      <c r="J14" s="146">
        <f>'FY2005'!J14+'FY2006'!J14+'FY2007'!J14</f>
        <v>0</v>
      </c>
      <c r="K14" s="135">
        <f>'FY2005'!K14+'FY2006'!K14+'FY2007'!K14</f>
        <v>38470.948668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89</v>
      </c>
      <c r="E15" s="113"/>
      <c r="F15" s="113"/>
      <c r="G15" s="113"/>
      <c r="H15" s="146">
        <f>'FY2005'!H15+'FY2006'!H15+'FY2007'!H15</f>
        <v>9</v>
      </c>
      <c r="I15" s="146">
        <f>'FY2005'!I15+'FY2006'!I15+'FY2007'!I15</f>
        <v>0</v>
      </c>
      <c r="J15" s="146">
        <f>'FY2005'!J15+'FY2006'!J15+'FY2007'!J15</f>
        <v>0</v>
      </c>
      <c r="K15" s="135">
        <f>'FY2005'!K15+'FY2006'!K15+'FY2007'!K15</f>
        <v>102194.4267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f>'FY2005'!H16+'FY2006'!H16+'FY2007'!H16</f>
        <v>0</v>
      </c>
      <c r="I16" s="146">
        <f>'FY2005'!I16+'FY2006'!I16+'FY2007'!I16</f>
        <v>0</v>
      </c>
      <c r="J16" s="146">
        <f>'FY2005'!J16+'FY2006'!J16+'FY2007'!J16</f>
        <v>0</v>
      </c>
      <c r="K16" s="135">
        <f>'FY2005'!K16+'FY2006'!K16+'FY2007'!K16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f>'FY2005'!H17+'FY2006'!H17+'FY2007'!H17</f>
        <v>0</v>
      </c>
      <c r="I17" s="146">
        <f>'FY2005'!I17+'FY2006'!I17+'FY2007'!I17</f>
        <v>0</v>
      </c>
      <c r="J17" s="146">
        <f>'FY2005'!J17+'FY2006'!J17+'FY2007'!J17</f>
        <v>0</v>
      </c>
      <c r="K17" s="135">
        <f>'FY2005'!K17+'FY2006'!K17+'FY2007'!K17</f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f>'FY2005'!H18+'FY2006'!H18+'FY2007'!H18</f>
        <v>0</v>
      </c>
      <c r="I18" s="146">
        <f>'FY2005'!I18+'FY2006'!I18+'FY2007'!I18</f>
        <v>0</v>
      </c>
      <c r="J18" s="146">
        <f>'FY2005'!J18+'FY2006'!J18+'FY2007'!J18</f>
        <v>0</v>
      </c>
      <c r="K18" s="135">
        <f>'FY2005'!K18+'FY2006'!K18+'FY2007'!K18</f>
        <v>0</v>
      </c>
      <c r="L18" s="44"/>
      <c r="M18" s="26"/>
      <c r="O18" s="52"/>
    </row>
    <row r="19" spans="1:15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SUM(H14:H19)</f>
        <v>12</v>
      </c>
      <c r="I20" s="146">
        <f>SUM(I14:I19)</f>
        <v>0</v>
      </c>
      <c r="J20" s="146">
        <f>SUM(J14:J19)</f>
        <v>0</v>
      </c>
      <c r="K20" s="137">
        <f>SUM(K14:K19)</f>
        <v>140665.375368</v>
      </c>
      <c r="L20" s="91"/>
      <c r="M20" s="92"/>
      <c r="O20" s="52"/>
    </row>
    <row r="21" spans="1:15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 thickBo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 thickBo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90">
        <f>'FY2005'!K23+'FY2006'!K23</f>
        <v>0</v>
      </c>
      <c r="L23" s="44"/>
      <c r="M23" s="26"/>
      <c r="O23" s="52"/>
    </row>
    <row r="24" spans="1:15" s="49" customFormat="1" ht="12" customHeight="1" thickBo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56"/>
      <c r="I24" s="157">
        <f>'FY2005'!I24+'FY2006'!I24+'FY2007'!I24</f>
        <v>54</v>
      </c>
      <c r="J24" s="157">
        <f>'FY2005'!J24+'FY2006'!J24+'FY2007'!J24</f>
        <v>9</v>
      </c>
      <c r="K24" s="90">
        <f>'FY2005'!K24+'FY2006'!K24+'FY2007'!K24</f>
        <v>168095.5056</v>
      </c>
      <c r="L24" s="44"/>
      <c r="M24" s="26"/>
      <c r="O24" s="52"/>
    </row>
    <row r="25" spans="1:15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'FY2005'!K28+'FY2006'!K28</f>
        <v>202783.8456</v>
      </c>
      <c r="L28" s="91"/>
      <c r="M28" s="92"/>
      <c r="O28" s="52"/>
    </row>
    <row r="29" spans="1:15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90">
        <f>'FY2005'!K29+'FY2006'!K29+'FY2007'!K29</f>
        <v>46676.30155272</v>
      </c>
      <c r="L29" s="91"/>
      <c r="M29" s="92"/>
      <c r="O29" s="52"/>
    </row>
    <row r="30" spans="1:15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'FY2005'!K30+'FY2006'!K30</f>
        <v>233439.283224</v>
      </c>
      <c r="L30" s="91"/>
      <c r="M30" s="92"/>
      <c r="O30" s="52"/>
    </row>
    <row r="31" spans="1:15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 thickBo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90">
        <f>'FY2005'!K38+'FY2006'!K38+'FY2007'!K38</f>
        <v>13909.05</v>
      </c>
      <c r="L38" s="88"/>
      <c r="M38" s="89"/>
      <c r="O38" s="52"/>
    </row>
    <row r="39" spans="1:15" s="49" customFormat="1" ht="12" customHeight="1" thickBo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90">
        <f>'FY2005'!K39+'FY2006'!K39+'FY2007'!K39</f>
        <v>10818.15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24727.199999999997</v>
      </c>
      <c r="L41" s="91"/>
      <c r="M41" s="92"/>
      <c r="O41" s="52"/>
    </row>
    <row r="42" spans="1:15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 thickBo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 thickBo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90">
        <f>'FY2006'!K49+'FY2005'!K49</f>
        <v>0</v>
      </c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 thickBo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84</v>
      </c>
      <c r="D54" s="129"/>
      <c r="E54" s="120"/>
      <c r="F54" s="121"/>
      <c r="G54" s="120"/>
      <c r="H54" s="122"/>
      <c r="I54" s="123"/>
      <c r="J54" s="122"/>
      <c r="K54" s="90">
        <f>'FY2005'!K54+'FY2006'!K54+'FY2007'!K54</f>
        <v>111479.4529992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'FY2005'!K55+'FY2006'!K55+'FY2007'!K55</f>
        <v>111479.4529992</v>
      </c>
      <c r="L55" s="91"/>
      <c r="M55" s="92"/>
      <c r="O55" s="52"/>
    </row>
    <row r="56" spans="1:15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'FY2005'!K56+'FY2006'!K56+'FY2007'!K56</f>
        <v>491643.83551992</v>
      </c>
      <c r="L56" s="91"/>
      <c r="M56" s="92"/>
      <c r="O56" s="52"/>
    </row>
    <row r="57" spans="1:15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 thickBot="1">
      <c r="A58" s="115"/>
      <c r="B58" s="116"/>
      <c r="C58" s="116"/>
      <c r="D58" s="117"/>
      <c r="E58" s="117"/>
      <c r="F58" s="124" t="s">
        <v>88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90">
        <f>'FY2005'!K59+'FY2006'!K59+'FY2007'!K59</f>
        <v>140660.8215326664</v>
      </c>
      <c r="L59" s="41"/>
      <c r="M59" s="26"/>
      <c r="O59" s="52"/>
    </row>
    <row r="60" spans="1:15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'FY2005'!K60+'FY2006'!K60+'FY2007'!K60</f>
        <v>632304.6570525864</v>
      </c>
      <c r="L60" s="91"/>
      <c r="M60" s="92"/>
      <c r="O60" s="52"/>
    </row>
    <row r="61" spans="1:15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'FY2005'!K62+'FY2006'!K62+'FY2007'!K62</f>
        <v>632304.6570525864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Research</dc:creator>
  <cp:keywords/>
  <dc:description/>
  <cp:lastModifiedBy>cottrell</cp:lastModifiedBy>
  <cp:lastPrinted>2004-04-28T18:33:08Z</cp:lastPrinted>
  <dcterms:created xsi:type="dcterms:W3CDTF">2004-01-21T20:03:26Z</dcterms:created>
  <dcterms:modified xsi:type="dcterms:W3CDTF">2004-05-03T23:00:55Z</dcterms:modified>
  <cp:category/>
  <cp:version/>
  <cp:contentType/>
  <cp:contentStatus/>
</cp:coreProperties>
</file>